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80" windowWidth="14610" windowHeight="8835" activeTab="0"/>
  </bookViews>
  <sheets>
    <sheet name="入力・結果表示画面" sheetId="1" r:id="rId1"/>
    <sheet name="入力・計算用資料" sheetId="2" r:id="rId2"/>
  </sheets>
  <definedNames/>
  <calcPr fullCalcOnLoad="1"/>
</workbook>
</file>

<file path=xl/sharedStrings.xml><?xml version="1.0" encoding="utf-8"?>
<sst xmlns="http://schemas.openxmlformats.org/spreadsheetml/2006/main" count="217" uniqueCount="183">
  <si>
    <t>給与収入</t>
  </si>
  <si>
    <t>給与所得</t>
  </si>
  <si>
    <t>15歳以下</t>
  </si>
  <si>
    <t>16～18歳</t>
  </si>
  <si>
    <t>19～22歳</t>
  </si>
  <si>
    <t>23～69歳</t>
  </si>
  <si>
    <t>70歳以上（上記以外）</t>
  </si>
  <si>
    <t>70歳以上（同居の親・祖父母）</t>
  </si>
  <si>
    <t>配偶者控除</t>
  </si>
  <si>
    <t>扶養控除</t>
  </si>
  <si>
    <t>基礎控除</t>
  </si>
  <si>
    <t>所得税</t>
  </si>
  <si>
    <t>住民税</t>
  </si>
  <si>
    <t>人</t>
  </si>
  <si>
    <t>所得控除の合計</t>
  </si>
  <si>
    <t>円</t>
  </si>
  <si>
    <t>住民税非課税？</t>
  </si>
  <si>
    <t>課税総所得金額</t>
  </si>
  <si>
    <t>住民税所得割額</t>
  </si>
  <si>
    <t>自治体に寄付する金額</t>
  </si>
  <si>
    <t>所得</t>
  </si>
  <si>
    <t>本人の給与収入</t>
  </si>
  <si>
    <t>配偶者の給与収入</t>
  </si>
  <si>
    <t>あり(69歳以下)</t>
  </si>
  <si>
    <t>あり(70歳以上)</t>
  </si>
  <si>
    <t>給与所得
(本人)</t>
  </si>
  <si>
    <t>円</t>
  </si>
  <si>
    <t>給与所得
(配偶者)</t>
  </si>
  <si>
    <t>配偶者特別控除</t>
  </si>
  <si>
    <t>所得税</t>
  </si>
  <si>
    <t>住民税</t>
  </si>
  <si>
    <t>寄附金適用後所得割額</t>
  </si>
  <si>
    <t>所得控除の合計(寄附金適用後)</t>
  </si>
  <si>
    <t>寄附金控除(所得税)</t>
  </si>
  <si>
    <t>所得税</t>
  </si>
  <si>
    <t>住民税</t>
  </si>
  <si>
    <t>円</t>
  </si>
  <si>
    <t>課税総所得金額(寄附金適用後)</t>
  </si>
  <si>
    <t>税の軽減額</t>
  </si>
  <si>
    <t>算出所得割額</t>
  </si>
  <si>
    <t>寄附金税額控除(住民税)</t>
  </si>
  <si>
    <t>配偶者控除分</t>
  </si>
  <si>
    <t>それ以外</t>
  </si>
  <si>
    <t>合計</t>
  </si>
  <si>
    <t>配偶者特別控除分</t>
  </si>
  <si>
    <t>都道府県</t>
  </si>
  <si>
    <t>市区町村</t>
  </si>
  <si>
    <t>調整控除額</t>
  </si>
  <si>
    <t>本則分</t>
  </si>
  <si>
    <t>ふるさと特例</t>
  </si>
  <si>
    <t>ふるさと特例(比較計算用)</t>
  </si>
  <si>
    <t>税率</t>
  </si>
  <si>
    <t>【住民税の計算用】</t>
  </si>
  <si>
    <t>＜人的控除額の差額＞</t>
  </si>
  <si>
    <t>＜寄附金適用前の所得割額＞</t>
  </si>
  <si>
    <t>所得割額</t>
  </si>
  <si>
    <t>＜寄附金税額控除の計算＞</t>
  </si>
  <si>
    <t>＜寄附金適用【後】の所得割額＞</t>
  </si>
  <si>
    <t>配偶者の給与所得</t>
  </si>
  <si>
    <t>↓</t>
  </si>
  <si>
    <t>【配偶者に関する計算シート】</t>
  </si>
  <si>
    <t>配偶者特別控除の計算用資料</t>
  </si>
  <si>
    <t>【給与所得の計算用資料】</t>
  </si>
  <si>
    <t>【所得税率と所得税額計算用】</t>
  </si>
  <si>
    <t>寄附金適用前</t>
  </si>
  <si>
    <t>寄附金適用後</t>
  </si>
  <si>
    <t>＜所得割非課税判定用＞</t>
  </si>
  <si>
    <t>配偶者</t>
  </si>
  <si>
    <t>扶養親族</t>
  </si>
  <si>
    <t>非課税限度額</t>
  </si>
  <si>
    <t>税額調整</t>
  </si>
  <si>
    <t>税額調整</t>
  </si>
  <si>
    <t>調整後所得割額</t>
  </si>
  <si>
    <t>調整後所得割額</t>
  </si>
  <si>
    <t>税額調整用(寄附金適用前)</t>
  </si>
  <si>
    <t>税額調整用(寄附金適用後)</t>
  </si>
  <si>
    <t>「給与所得の計算用資料」より抽出(収入ゼロ→0円）</t>
  </si>
  <si>
    <t>「配偶者の給与所得」「配偶者欄の文言」より判定</t>
  </si>
  <si>
    <t>【配偶者特別控除の計算用資料」より抽出（配偶者なし・空欄はゼロ）</t>
  </si>
  <si>
    <t>年齢別の人数により計算</t>
  </si>
  <si>
    <t>定数</t>
  </si>
  <si>
    <t>上記の控除の合計</t>
  </si>
  <si>
    <t>「給与所得」－「所得控除の合計」（千円未満切捨）</t>
  </si>
  <si>
    <t>「課税総所得金額」欄に応じ【所得税率と～】の表より抽出</t>
  </si>
  <si>
    <t>お客様入力</t>
  </si>
  <si>
    <t>お客様入力（入力用リストから選択/空欄も可能）</t>
  </si>
  <si>
    <t>配偶者欄が「空欄」「なし」の場合はゼロ、他は1</t>
  </si>
  <si>
    <t>お客様入力の人数の合計</t>
  </si>
  <si>
    <t>配偶者・扶養親族の人数により計算</t>
  </si>
  <si>
    <t>給与所得が非課税限度額以下は「非課税」、超は「課税」と表示</t>
  </si>
  <si>
    <t>「調整後所得割額」の合計（寄附金適用前）</t>
  </si>
  <si>
    <t>69歳以下は5万、70歳以上は10万</t>
  </si>
  <si>
    <t>38万超40万未満は5万、40万超45万未満は3万、他はゼロ</t>
  </si>
  <si>
    <t>上記3項目の合計</t>
  </si>
  <si>
    <t>調整控除の計算式をそのまま入力した</t>
  </si>
  <si>
    <t>住民税の「課税総所得金額」×税率から「調整控除」を控除した金額</t>
  </si>
  <si>
    <t>地方税法附則3条の3②⑤にいう「超える金額」</t>
  </si>
  <si>
    <t>地方税法附則3条の3②⑤の税額調整</t>
  </si>
  <si>
    <t>「ふるさと納税額」（給与所得の4割限度）－2000円</t>
  </si>
  <si>
    <t>住民税では関係ない（税額控除の為）</t>
  </si>
  <si>
    <t>【寄付金額に対する税金の軽減額】</t>
  </si>
  <si>
    <t>【寄附金適用前の所得税・住民税の税額】</t>
  </si>
  <si>
    <t>寄附金適用【前】の所得割額（調整控除後）</t>
  </si>
  <si>
    <t>「所得割額」-「税額調整」（百円未満切捨）</t>
  </si>
  <si>
    <t>（寄附金－2000円）×税率　※寄附金は総所得金額の30%限度</t>
  </si>
  <si>
    <t>住民税の「課税総所得金額」－「人的控除額の差額の合計」の数字に応じて税率を抽出して計算</t>
  </si>
  <si>
    <t>「本則分」＋「ふるさと特例」の合計</t>
  </si>
  <si>
    <t>寄附金税額控除の合計</t>
  </si>
  <si>
    <t>「都道府県」分・「市区町村」分の「寄附金税額控除」の合計</t>
  </si>
  <si>
    <t>「寄附金適用【後】の所得割額」-「税額調整」（百円未満切捨）</t>
  </si>
  <si>
    <t>＜ふるさと納税プログラムの入力・計算用資料＞</t>
  </si>
  <si>
    <t>→お客様が入力する項目</t>
  </si>
  <si>
    <t>凡例</t>
  </si>
  <si>
    <t>住宅借入金等特別控除額</t>
  </si>
  <si>
    <t>上記に対する税額(寄附金適用前)</t>
  </si>
  <si>
    <t>上記に対する税額(寄附金適用後)</t>
  </si>
  <si>
    <t>（所得税側の）住宅ローン控除適用後の税額</t>
  </si>
  <si>
    <t>なし</t>
  </si>
  <si>
    <t>　※控除額が分かる場合は、金額を入力してください</t>
  </si>
  <si>
    <t>お客様入力</t>
  </si>
  <si>
    <t>住宅ローン控除適用後の金額</t>
  </si>
  <si>
    <t>住宅ローン控除後所得税額
（寄附金適用前）</t>
  </si>
  <si>
    <t>復興特別所得税（2.1%上乗せ分）合算後の金額</t>
  </si>
  <si>
    <t>住宅ローン控除後所得税額
（寄附金適用後）</t>
  </si>
  <si>
    <t>実際の所得税額
（寄附金適用前）</t>
  </si>
  <si>
    <t>実際の所得税額
（寄附金適用後）</t>
  </si>
  <si>
    <t>ご不明点等ございましたら、お気軽にふるさと納税係までご質問下さいませ。</t>
  </si>
  <si>
    <t>税理士法人エムエムアイ</t>
  </si>
  <si>
    <t>この計算シートの御利用につきまして、何らかのトラブルや損失・損害等につきましては弊社は一切保証を致しかねます。</t>
  </si>
  <si>
    <r>
      <t>寄附金適用前の所得割額（税額調整前）の</t>
    </r>
    <r>
      <rPr>
        <sz val="9"/>
        <color indexed="17"/>
        <rFont val="ＭＳ Ｐゴシック"/>
        <family val="3"/>
      </rPr>
      <t>2割</t>
    </r>
    <r>
      <rPr>
        <sz val="9"/>
        <color indexed="10"/>
        <rFont val="ＭＳ Ｐゴシック"/>
        <family val="3"/>
      </rPr>
      <t>を限度とする算式</t>
    </r>
  </si>
  <si>
    <r>
      <t>「ふるさと納税額-2000円」×（90%-所得税率）＝理論上の住民税所得割（税額調整前）の</t>
    </r>
    <r>
      <rPr>
        <sz val="9"/>
        <color indexed="30"/>
        <rFont val="ＭＳ Ｐゴシック"/>
        <family val="3"/>
      </rPr>
      <t>2割</t>
    </r>
    <r>
      <rPr>
        <sz val="9"/>
        <color indexed="10"/>
        <rFont val="ＭＳ Ｐゴシック"/>
        <family val="3"/>
      </rPr>
      <t xml:space="preserve">
の方程式を「ふるさと納税額」について解いている。</t>
    </r>
  </si>
  <si>
    <t>円</t>
  </si>
  <si>
    <t>お客様が入力した金額</t>
  </si>
  <si>
    <t>「社会保険料の金額」欄に入力した金額</t>
  </si>
  <si>
    <t>社会保険料等の金額</t>
  </si>
  <si>
    <t>※源泉徴収票には「確定拠出年金」「小規模企業共済掛金」</t>
  </si>
  <si>
    <t>　が含まれた金額が記載されています。</t>
  </si>
  <si>
    <t>社会保険料･小規模企業共済掛金控除</t>
  </si>
  <si>
    <t>寡婦に該当しますか？</t>
  </si>
  <si>
    <t>お客様入力（入力用リストから選択/空欄も可能）</t>
  </si>
  <si>
    <t>寡婦(入力用ﾘｽﾄ)</t>
  </si>
  <si>
    <t>非該当</t>
  </si>
  <si>
    <t>寡婦</t>
  </si>
  <si>
    <t>寡夫</t>
  </si>
  <si>
    <t>障害者控除</t>
  </si>
  <si>
    <t>配偶者の有無</t>
  </si>
  <si>
    <t>扶養親族の人数</t>
  </si>
  <si>
    <r>
      <rPr>
        <b/>
        <sz val="11"/>
        <color indexed="8"/>
        <rFont val="ＭＳ Ｐゴシック"/>
        <family val="3"/>
      </rPr>
      <t>障害者</t>
    </r>
    <r>
      <rPr>
        <sz val="8"/>
        <color indexed="10"/>
        <rFont val="ＭＳ Ｐゴシック"/>
        <family val="3"/>
      </rPr>
      <t>　※対象：本人･控除対象配偶者･扶養親族のみ</t>
    </r>
  </si>
  <si>
    <t>人</t>
  </si>
  <si>
    <r>
      <t>生命保険料・地震保険料</t>
    </r>
    <r>
      <rPr>
        <b/>
        <sz val="11"/>
        <color indexed="8"/>
        <rFont val="ＭＳ Ｐゴシック"/>
        <family val="3"/>
      </rPr>
      <t>【控除】</t>
    </r>
    <r>
      <rPr>
        <sz val="11"/>
        <color theme="1"/>
        <rFont val="Calibri"/>
        <family val="3"/>
      </rPr>
      <t>額</t>
    </r>
  </si>
  <si>
    <t>医療費控除の金額</t>
  </si>
  <si>
    <t>控除対象配偶者（入力用リスト）</t>
  </si>
  <si>
    <t>寡婦（夫）控除</t>
  </si>
  <si>
    <t>医療費控除</t>
  </si>
  <si>
    <t>「寡婦に該当しますか？」欄の文言により判定（配偶者がある場合はゼロ）</t>
  </si>
  <si>
    <t>障害者の区分別の人数により計算</t>
  </si>
  <si>
    <t>【2000円を除いた額の全体が税金から軽減となる寄附金の上限額の算出】</t>
  </si>
  <si>
    <t>生命保険・地震保険料控除（所得税ﾍﾞｰｽ）</t>
  </si>
  <si>
    <t>特定の寡婦</t>
  </si>
  <si>
    <t>別居の特別障害者</t>
  </si>
  <si>
    <t>同居特別障害者</t>
  </si>
  <si>
    <t>一般の障害者</t>
  </si>
  <si>
    <t>「寄附金税額控除」「税額調整」を考慮した後の金額　※百円未満切捨</t>
  </si>
  <si>
    <t>【給与所得・所得税額・住民税所得割の計算】</t>
  </si>
  <si>
    <t>「生命保険料･地震保険料【控除】額」欄に入力した金額（住民税分は微調整あり）</t>
  </si>
  <si>
    <t>復興特別所得税（2.1%上乗せ分）合算後の金額 （百円未満切捨）</t>
  </si>
  <si>
    <t>「寄附金適用前の所得割額」-「寄附金税額控除」</t>
  </si>
  <si>
    <t>寡婦（夫）控除分</t>
  </si>
  <si>
    <t>特定の寡婦は5万、他は1万</t>
  </si>
  <si>
    <t>扶養控除・障害者控除・基礎控除分の合計</t>
  </si>
  <si>
    <t>ふるさと納税試算プログラム（平成27年版）</t>
  </si>
  <si>
    <t>※源泉徴収票には「支払金額」と書かれています</t>
  </si>
  <si>
    <t>※実際の今年のふるさと納税の上限額は今年の収入・控除によって算出されますのでご注意ください</t>
  </si>
  <si>
    <t>03-3778-2202　受付時間　平日10:00～15:00</t>
  </si>
  <si>
    <t>※配偶者の収入で配偶者控除の判定をしています</t>
  </si>
  <si>
    <t>なし</t>
  </si>
  <si>
    <t>こちらの金額までの寄附ですと自己負担は2,000円で済みます</t>
  </si>
  <si>
    <t>※ワンストップ特例を適用した場合は、所得税の税の軽減額が住民税へ移行します。</t>
  </si>
  <si>
    <t>※住宅ローン控除で所得税を引ききっている場合は、正常な計算ができません。ご注意ください。</t>
  </si>
  <si>
    <t>【ご注意】</t>
  </si>
  <si>
    <t>寄附金控除で所得税率が変動した場合、自己負担が2,000円で済まない場合があります。</t>
  </si>
  <si>
    <t>下記の税金の軽減額を算出する式に、判定は組み込んでありますので、</t>
  </si>
  <si>
    <t>実際に寄附する金額を入れていただき、所得税・住民税の税の軽減額を必ずご確認ください。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</si>
</sst>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[Red]&quot;?&quot;\-#,##0"/>
    <numFmt numFmtId="177" formatCode="&quot;?&quot;#,##0.00;[Red]&quot;?&quot;\-#,##0.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3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4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Calibri"/>
      <family val="3"/>
    </font>
    <font>
      <sz val="9"/>
      <color rgb="FFFF0000"/>
      <name val="ＭＳ Ｐゴシック"/>
      <family val="3"/>
    </font>
    <font>
      <sz val="11"/>
      <color rgb="FF00B0F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1" fillId="0" borderId="10" xfId="48" applyFont="1" applyBorder="1" applyAlignment="1">
      <alignment vertical="center"/>
    </xf>
    <xf numFmtId="38" fontId="1" fillId="0" borderId="0" xfId="48" applyFont="1" applyAlignment="1">
      <alignment vertical="center"/>
    </xf>
    <xf numFmtId="38" fontId="0" fillId="0" borderId="10" xfId="0" applyNumberFormat="1" applyBorder="1" applyAlignment="1">
      <alignment vertical="center"/>
    </xf>
    <xf numFmtId="38" fontId="1" fillId="0" borderId="0" xfId="48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1" fillId="0" borderId="10" xfId="48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1" fillId="0" borderId="0" xfId="48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8" fontId="0" fillId="0" borderId="1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8" applyFont="1" applyBorder="1" applyAlignment="1">
      <alignment vertical="center"/>
    </xf>
    <xf numFmtId="3" fontId="1" fillId="0" borderId="10" xfId="48" applyNumberFormat="1" applyFont="1" applyBorder="1" applyAlignment="1">
      <alignment vertical="center"/>
    </xf>
    <xf numFmtId="3" fontId="1" fillId="0" borderId="11" xfId="48" applyNumberFormat="1" applyFont="1" applyBorder="1" applyAlignment="1">
      <alignment vertical="center"/>
    </xf>
    <xf numFmtId="3" fontId="1" fillId="0" borderId="10" xfId="48" applyNumberFormat="1" applyFont="1" applyFill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38" fontId="1" fillId="34" borderId="10" xfId="48" applyFont="1" applyFill="1" applyBorder="1" applyAlignment="1">
      <alignment vertical="center"/>
    </xf>
    <xf numFmtId="38" fontId="1" fillId="35" borderId="10" xfId="48" applyFont="1" applyFill="1" applyBorder="1" applyAlignment="1">
      <alignment vertical="center"/>
    </xf>
    <xf numFmtId="38" fontId="0" fillId="35" borderId="10" xfId="0" applyNumberFormat="1" applyFill="1" applyBorder="1" applyAlignment="1">
      <alignment vertical="center"/>
    </xf>
    <xf numFmtId="38" fontId="0" fillId="34" borderId="10" xfId="0" applyNumberFormat="1" applyFill="1" applyBorder="1" applyAlignment="1">
      <alignment vertical="center"/>
    </xf>
    <xf numFmtId="38" fontId="1" fillId="33" borderId="10" xfId="48" applyFont="1" applyFill="1" applyBorder="1" applyAlignment="1" applyProtection="1">
      <alignment vertical="center"/>
      <protection locked="0"/>
    </xf>
    <xf numFmtId="38" fontId="1" fillId="36" borderId="10" xfId="48" applyFont="1" applyFill="1" applyBorder="1" applyAlignment="1">
      <alignment vertical="center"/>
    </xf>
    <xf numFmtId="38" fontId="0" fillId="36" borderId="10" xfId="0" applyNumberForma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1" fillId="0" borderId="0" xfId="48" applyFont="1" applyFill="1" applyBorder="1" applyAlignment="1" applyProtection="1">
      <alignment vertical="center"/>
      <protection locked="0"/>
    </xf>
    <xf numFmtId="9" fontId="1" fillId="0" borderId="10" xfId="48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0" fillId="0" borderId="10" xfId="48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6" fillId="0" borderId="0" xfId="0" applyFont="1" applyAlignment="1">
      <alignment vertical="center"/>
    </xf>
    <xf numFmtId="38" fontId="1" fillId="0" borderId="13" xfId="48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38" fontId="1" fillId="0" borderId="14" xfId="48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8" fontId="1" fillId="0" borderId="0" xfId="48" applyFont="1" applyFill="1" applyBorder="1" applyAlignment="1">
      <alignment vertical="center"/>
    </xf>
    <xf numFmtId="0" fontId="46" fillId="38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8" borderId="10" xfId="0" applyFill="1" applyBorder="1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top"/>
    </xf>
    <xf numFmtId="0" fontId="5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73">
      <selection activeCell="D80" sqref="D80"/>
    </sheetView>
  </sheetViews>
  <sheetFormatPr defaultColWidth="9.140625" defaultRowHeight="15"/>
  <cols>
    <col min="2" max="2" width="36.00390625" style="0" customWidth="1"/>
    <col min="3" max="3" width="11.421875" style="0" bestFit="1" customWidth="1"/>
    <col min="4" max="4" width="11.28125" style="0" customWidth="1"/>
    <col min="5" max="5" width="59.7109375" style="15" customWidth="1"/>
    <col min="6" max="6" width="14.7109375" style="0" customWidth="1"/>
  </cols>
  <sheetData>
    <row r="1" spans="2:6" ht="18.75">
      <c r="B1" s="74" t="s">
        <v>170</v>
      </c>
      <c r="F1" s="50"/>
    </row>
    <row r="3" spans="2:4" ht="13.5">
      <c r="B3" s="8" t="s">
        <v>112</v>
      </c>
      <c r="C3" s="13"/>
      <c r="D3" t="s">
        <v>111</v>
      </c>
    </row>
    <row r="5" ht="17.25">
      <c r="B5" s="37" t="s">
        <v>101</v>
      </c>
    </row>
    <row r="6" ht="13.5">
      <c r="F6" s="65" t="s">
        <v>151</v>
      </c>
    </row>
    <row r="7" spans="2:6" ht="13.5">
      <c r="B7" s="64" t="s">
        <v>21</v>
      </c>
      <c r="C7" s="42">
        <v>0</v>
      </c>
      <c r="D7" t="s">
        <v>15</v>
      </c>
      <c r="E7" s="28" t="s">
        <v>84</v>
      </c>
      <c r="F7" s="45" t="s">
        <v>23</v>
      </c>
    </row>
    <row r="8" spans="2:6" ht="13.5">
      <c r="B8" s="60" t="s">
        <v>171</v>
      </c>
      <c r="C8" s="2"/>
      <c r="E8" s="28"/>
      <c r="F8" s="45" t="s">
        <v>24</v>
      </c>
    </row>
    <row r="9" spans="2:6" ht="13.5">
      <c r="B9" s="64" t="s">
        <v>22</v>
      </c>
      <c r="C9" s="42">
        <v>0</v>
      </c>
      <c r="D9" t="s">
        <v>26</v>
      </c>
      <c r="E9" s="28" t="s">
        <v>84</v>
      </c>
      <c r="F9" s="45" t="s">
        <v>117</v>
      </c>
    </row>
    <row r="10" spans="2:5" ht="13.5">
      <c r="B10" s="60" t="s">
        <v>174</v>
      </c>
      <c r="C10" s="2"/>
      <c r="E10" s="28"/>
    </row>
    <row r="11" spans="2:5" ht="13.5">
      <c r="B11" s="64" t="s">
        <v>145</v>
      </c>
      <c r="C11" s="71" t="s">
        <v>175</v>
      </c>
      <c r="E11" s="28" t="s">
        <v>85</v>
      </c>
    </row>
    <row r="12" ht="13.5">
      <c r="E12" s="28"/>
    </row>
    <row r="13" spans="2:5" ht="13.5">
      <c r="B13" s="64" t="s">
        <v>146</v>
      </c>
      <c r="E13" s="28"/>
    </row>
    <row r="14" spans="2:5" ht="13.5">
      <c r="B14" s="8" t="s">
        <v>2</v>
      </c>
      <c r="C14" s="72"/>
      <c r="D14" t="s">
        <v>13</v>
      </c>
      <c r="E14" s="28" t="s">
        <v>84</v>
      </c>
    </row>
    <row r="15" spans="2:5" ht="13.5">
      <c r="B15" s="8" t="s">
        <v>3</v>
      </c>
      <c r="C15" s="72"/>
      <c r="D15" t="s">
        <v>13</v>
      </c>
      <c r="E15" s="28" t="s">
        <v>84</v>
      </c>
    </row>
    <row r="16" spans="2:5" ht="13.5">
      <c r="B16" s="8" t="s">
        <v>4</v>
      </c>
      <c r="C16" s="72"/>
      <c r="D16" t="s">
        <v>13</v>
      </c>
      <c r="E16" s="28" t="s">
        <v>84</v>
      </c>
    </row>
    <row r="17" spans="2:5" ht="13.5">
      <c r="B17" s="8" t="s">
        <v>5</v>
      </c>
      <c r="C17" s="72"/>
      <c r="D17" t="s">
        <v>13</v>
      </c>
      <c r="E17" s="28" t="s">
        <v>84</v>
      </c>
    </row>
    <row r="18" spans="2:5" ht="13.5">
      <c r="B18" s="8" t="s">
        <v>7</v>
      </c>
      <c r="C18" s="72"/>
      <c r="D18" t="s">
        <v>13</v>
      </c>
      <c r="E18" s="28" t="s">
        <v>84</v>
      </c>
    </row>
    <row r="19" spans="2:5" ht="13.5">
      <c r="B19" s="8" t="s">
        <v>6</v>
      </c>
      <c r="C19" s="72"/>
      <c r="D19" t="s">
        <v>13</v>
      </c>
      <c r="E19" s="28" t="s">
        <v>84</v>
      </c>
    </row>
    <row r="20" spans="5:6" ht="13.5">
      <c r="E20" s="28"/>
      <c r="F20" t="s">
        <v>140</v>
      </c>
    </row>
    <row r="21" spans="2:6" ht="13.5">
      <c r="B21" s="64" t="s">
        <v>138</v>
      </c>
      <c r="C21" s="69" t="s">
        <v>141</v>
      </c>
      <c r="E21" s="28" t="s">
        <v>139</v>
      </c>
      <c r="F21" s="62" t="s">
        <v>141</v>
      </c>
    </row>
    <row r="22" spans="5:6" ht="13.5">
      <c r="E22" s="28"/>
      <c r="F22" s="62" t="s">
        <v>142</v>
      </c>
    </row>
    <row r="23" spans="2:6" ht="13.5">
      <c r="B23" t="s">
        <v>147</v>
      </c>
      <c r="E23" s="28"/>
      <c r="F23" s="62" t="s">
        <v>158</v>
      </c>
    </row>
    <row r="24" spans="2:6" ht="13.5">
      <c r="B24" s="63" t="s">
        <v>161</v>
      </c>
      <c r="C24" s="73">
        <v>0</v>
      </c>
      <c r="D24" t="s">
        <v>148</v>
      </c>
      <c r="E24" s="28" t="s">
        <v>119</v>
      </c>
      <c r="F24" s="62" t="s">
        <v>143</v>
      </c>
    </row>
    <row r="25" spans="2:5" ht="13.5">
      <c r="B25" s="8" t="s">
        <v>159</v>
      </c>
      <c r="C25" s="73"/>
      <c r="D25" t="s">
        <v>148</v>
      </c>
      <c r="E25" s="28" t="s">
        <v>119</v>
      </c>
    </row>
    <row r="26" spans="2:5" ht="13.5">
      <c r="B26" s="8" t="s">
        <v>160</v>
      </c>
      <c r="C26" s="73"/>
      <c r="D26" t="s">
        <v>148</v>
      </c>
      <c r="E26" s="28" t="s">
        <v>119</v>
      </c>
    </row>
    <row r="27" ht="13.5">
      <c r="E27" s="28"/>
    </row>
    <row r="28" spans="2:5" ht="13.5">
      <c r="B28" s="64" t="s">
        <v>134</v>
      </c>
      <c r="C28" s="42">
        <v>0</v>
      </c>
      <c r="D28" t="s">
        <v>15</v>
      </c>
      <c r="E28" s="28" t="s">
        <v>84</v>
      </c>
    </row>
    <row r="29" spans="2:5" ht="13.5">
      <c r="B29" s="60" t="s">
        <v>135</v>
      </c>
      <c r="C29" s="57"/>
      <c r="E29" s="28"/>
    </row>
    <row r="30" spans="2:5" ht="13.5">
      <c r="B30" s="60" t="s">
        <v>136</v>
      </c>
      <c r="C30" s="46"/>
      <c r="E30" s="28"/>
    </row>
    <row r="31" spans="2:5" ht="13.5">
      <c r="B31" s="58"/>
      <c r="C31" s="59"/>
      <c r="E31" s="28"/>
    </row>
    <row r="32" spans="2:5" ht="13.5">
      <c r="B32" t="s">
        <v>149</v>
      </c>
      <c r="C32" s="42">
        <v>0</v>
      </c>
      <c r="D32" t="s">
        <v>131</v>
      </c>
      <c r="E32" s="28" t="s">
        <v>84</v>
      </c>
    </row>
    <row r="33" spans="3:5" ht="13.5">
      <c r="C33" s="57"/>
      <c r="E33" s="28"/>
    </row>
    <row r="34" spans="2:5" ht="13.5">
      <c r="B34" s="66" t="s">
        <v>150</v>
      </c>
      <c r="C34" s="42">
        <v>0</v>
      </c>
      <c r="D34" t="s">
        <v>131</v>
      </c>
      <c r="E34" s="28" t="s">
        <v>84</v>
      </c>
    </row>
    <row r="35" spans="2:5" ht="13.5">
      <c r="B35" s="56"/>
      <c r="E35" s="28"/>
    </row>
    <row r="36" spans="2:5" ht="13.5">
      <c r="B36" s="64" t="s">
        <v>113</v>
      </c>
      <c r="C36" s="42">
        <v>0</v>
      </c>
      <c r="E36" s="28" t="s">
        <v>119</v>
      </c>
    </row>
    <row r="37" spans="2:5" ht="13.5">
      <c r="B37" s="28" t="s">
        <v>118</v>
      </c>
      <c r="C37" s="46"/>
      <c r="E37" s="28"/>
    </row>
    <row r="38" ht="13.5">
      <c r="E38" s="28"/>
    </row>
    <row r="39" spans="2:5" ht="13.5">
      <c r="B39" s="18"/>
      <c r="E39" s="28"/>
    </row>
    <row r="40" spans="2:5" ht="17.25">
      <c r="B40" s="37" t="s">
        <v>163</v>
      </c>
      <c r="E40" s="28"/>
    </row>
    <row r="41" ht="13.5">
      <c r="E41" s="28"/>
    </row>
    <row r="42" ht="13.5">
      <c r="E42" s="28"/>
    </row>
    <row r="43" spans="3:5" ht="13.5">
      <c r="C43" t="s">
        <v>11</v>
      </c>
      <c r="D43" t="s">
        <v>12</v>
      </c>
      <c r="E43" s="28"/>
    </row>
    <row r="44" spans="1:5" ht="13.5">
      <c r="A44" s="50"/>
      <c r="B44" t="s">
        <v>1</v>
      </c>
      <c r="C44" s="38">
        <f>IF($C$7&lt;0,0,VLOOKUP($C$7,'入力・計算用資料'!$A$6:$C$18,2))</f>
        <v>0</v>
      </c>
      <c r="D44" s="4">
        <f>$C$44</f>
        <v>0</v>
      </c>
      <c r="E44" s="28" t="s">
        <v>76</v>
      </c>
    </row>
    <row r="45" spans="1:5" ht="13.5">
      <c r="A45" s="50"/>
      <c r="C45" s="5"/>
      <c r="D45" s="5"/>
      <c r="E45" s="28"/>
    </row>
    <row r="46" spans="1:5" ht="13.5">
      <c r="A46" s="50"/>
      <c r="B46" t="s">
        <v>8</v>
      </c>
      <c r="C46" s="4">
        <f>IF('入力・計算用資料'!$E$13&gt;380000,0,IF($C$11="あり(69歳以下)",380000,IF($C$11="あり(70歳以上)",480000,0)))</f>
        <v>0</v>
      </c>
      <c r="D46" s="4">
        <f>IF('入力・計算用資料'!$E$13&gt;380000,0,IF($C$11="あり(69歳以下)",330000,IF($C$11="あり(70歳以上)",380000,0)))</f>
        <v>0</v>
      </c>
      <c r="E46" s="28" t="s">
        <v>77</v>
      </c>
    </row>
    <row r="47" spans="1:5" ht="13.5">
      <c r="A47" s="50"/>
      <c r="B47" t="s">
        <v>28</v>
      </c>
      <c r="C47" s="14">
        <f>IF(OR($C$11="",$C$11="なし"),0,VLOOKUP('入力・計算用資料'!$E$13,'入力・計算用資料'!$G$7:$I$18,2))</f>
        <v>0</v>
      </c>
      <c r="D47" s="14">
        <f>IF(OR($C$11="",$C$11="なし"),0,VLOOKUP('入力・計算用資料'!$E$13,'入力・計算用資料'!$G$7:$I$18,3))</f>
        <v>0</v>
      </c>
      <c r="E47" s="28" t="s">
        <v>78</v>
      </c>
    </row>
    <row r="48" spans="1:5" ht="13.5">
      <c r="A48" s="50"/>
      <c r="B48" t="s">
        <v>9</v>
      </c>
      <c r="C48" s="4">
        <f>$C$15*380000+$C$16*630000+$C$17*380000+$C$18*580000+$C$19*480000</f>
        <v>0</v>
      </c>
      <c r="D48" s="4">
        <f>$C$15*330000+$C$16*450000+$C$17*330000+$C$18*450000+$C$19*380000</f>
        <v>0</v>
      </c>
      <c r="E48" s="28" t="s">
        <v>79</v>
      </c>
    </row>
    <row r="49" spans="1:5" ht="13.5">
      <c r="A49" s="50"/>
      <c r="B49" t="s">
        <v>137</v>
      </c>
      <c r="C49" s="4">
        <f>IF($C$28&lt;0,0,$C$28)</f>
        <v>0</v>
      </c>
      <c r="D49" s="4">
        <f>$C$49</f>
        <v>0</v>
      </c>
      <c r="E49" s="28" t="s">
        <v>133</v>
      </c>
    </row>
    <row r="50" spans="1:5" ht="13.5">
      <c r="A50" s="50"/>
      <c r="B50" t="s">
        <v>157</v>
      </c>
      <c r="C50" s="4">
        <f>IF($C$32&lt;0,0,IF(170000&lt;$C$32,170000,$C$32))</f>
        <v>0</v>
      </c>
      <c r="D50" s="4">
        <f>IF($C$32&lt;0,0,IF(95000&lt;$C$32,95000,$C$32))</f>
        <v>0</v>
      </c>
      <c r="E50" s="28" t="s">
        <v>164</v>
      </c>
    </row>
    <row r="51" spans="1:5" ht="13.5">
      <c r="A51" s="50"/>
      <c r="B51" t="s">
        <v>152</v>
      </c>
      <c r="C51" s="4">
        <f>IF(OR($C$11="",$C$11="なし"),IF(OR($C$21="寡婦",$C$21="寡夫"),270000,IF($C$21="特定の寡婦",350000,0)),0)</f>
        <v>0</v>
      </c>
      <c r="D51" s="4">
        <f>IF(OR($C$11="",$C$11="なし"),IF(OR($C$21="寡婦",$C$21="寡夫"),260000,IF($C$21="特定の寡婦",300000,0)),0)</f>
        <v>0</v>
      </c>
      <c r="E51" s="28" t="s">
        <v>154</v>
      </c>
    </row>
    <row r="52" spans="1:5" ht="13.5">
      <c r="A52" s="50"/>
      <c r="B52" t="s">
        <v>144</v>
      </c>
      <c r="C52" s="4">
        <f>$C$24*270000+$C$25*400000+$C$26*750000</f>
        <v>0</v>
      </c>
      <c r="D52" s="4">
        <f>$C$24*260000+$C$25*300000+$C$26*530000</f>
        <v>0</v>
      </c>
      <c r="E52" s="28" t="s">
        <v>155</v>
      </c>
    </row>
    <row r="53" spans="1:5" ht="13.5">
      <c r="A53" s="50"/>
      <c r="B53" s="61" t="s">
        <v>153</v>
      </c>
      <c r="C53" s="4">
        <f>IF($C$34&lt;0,0,IF(2000000&lt;$C$34,2000000,$C$34))</f>
        <v>0</v>
      </c>
      <c r="D53" s="4">
        <f>$C$53</f>
        <v>0</v>
      </c>
      <c r="E53" s="28" t="s">
        <v>132</v>
      </c>
    </row>
    <row r="54" spans="1:5" ht="13.5">
      <c r="A54" s="50"/>
      <c r="B54" t="s">
        <v>10</v>
      </c>
      <c r="C54" s="4">
        <v>380000</v>
      </c>
      <c r="D54" s="4">
        <v>330000</v>
      </c>
      <c r="E54" s="28" t="s">
        <v>80</v>
      </c>
    </row>
    <row r="55" spans="1:5" ht="13.5">
      <c r="A55" s="50"/>
      <c r="B55" t="s">
        <v>14</v>
      </c>
      <c r="C55" s="38">
        <f>SUM($C$46:$C$54)</f>
        <v>380000</v>
      </c>
      <c r="D55" s="4">
        <f>SUM($D$46:$D$54)</f>
        <v>330000</v>
      </c>
      <c r="E55" s="28" t="s">
        <v>81</v>
      </c>
    </row>
    <row r="56" spans="1:5" ht="13.5">
      <c r="A56" s="50"/>
      <c r="E56" s="28"/>
    </row>
    <row r="57" spans="1:5" ht="13.5">
      <c r="A57" s="50"/>
      <c r="B57" t="s">
        <v>17</v>
      </c>
      <c r="C57" s="6">
        <f>IF($C$44-$C$55&lt;0,0,ROUNDDOWN(($C$44-$C$55)/1000,0)*1000)</f>
        <v>0</v>
      </c>
      <c r="D57" s="6">
        <f>IF($D$44-$D$55&lt;0,0,ROUNDDOWN(($D$44-$D$55)/1000,0)*1000)</f>
        <v>0</v>
      </c>
      <c r="E57" s="28" t="s">
        <v>82</v>
      </c>
    </row>
    <row r="58" spans="1:5" ht="13.5">
      <c r="A58" s="50"/>
      <c r="C58" s="26"/>
      <c r="D58" s="9"/>
      <c r="E58" s="28"/>
    </row>
    <row r="59" spans="1:5" ht="13.5">
      <c r="A59" s="50"/>
      <c r="B59" s="15" t="s">
        <v>114</v>
      </c>
      <c r="C59" s="4">
        <f>VLOOKUP($C$57,'入力・計算用資料'!$A$21:$D$28,3)</f>
        <v>0</v>
      </c>
      <c r="E59" s="28" t="s">
        <v>83</v>
      </c>
    </row>
    <row r="60" spans="1:5" ht="13.5">
      <c r="A60" s="50"/>
      <c r="C60" s="7"/>
      <c r="E60" s="28"/>
    </row>
    <row r="61" spans="1:5" ht="21">
      <c r="A61" s="50"/>
      <c r="B61" s="51" t="s">
        <v>121</v>
      </c>
      <c r="C61" s="4">
        <f>IF($C$59-$C$36&lt;0,0,$C$59-$C$36)</f>
        <v>0</v>
      </c>
      <c r="E61" s="28" t="s">
        <v>120</v>
      </c>
    </row>
    <row r="62" spans="3:5" ht="13.5">
      <c r="C62" s="7"/>
      <c r="E62" s="28"/>
    </row>
    <row r="63" spans="2:5" ht="27">
      <c r="B63" s="52" t="s">
        <v>124</v>
      </c>
      <c r="C63" s="4">
        <f>ROUNDDOWN($C$61*1.021/100,0)*100</f>
        <v>0</v>
      </c>
      <c r="E63" s="28" t="s">
        <v>165</v>
      </c>
    </row>
    <row r="64" spans="3:5" ht="13.5">
      <c r="C64" s="7"/>
      <c r="E64" s="28"/>
    </row>
    <row r="65" spans="2:5" ht="13.5">
      <c r="B65" t="s">
        <v>16</v>
      </c>
      <c r="D65" s="25" t="str">
        <f>IF($D$44&lt;='入力・計算用資料'!$C$36,"非課税","課税")</f>
        <v>非課税</v>
      </c>
      <c r="E65" s="28" t="s">
        <v>89</v>
      </c>
    </row>
    <row r="67" spans="2:5" ht="13.5">
      <c r="B67" t="s">
        <v>18</v>
      </c>
      <c r="D67" s="41">
        <f>'入力・計算用資料'!$C$54+'入力・計算用資料'!$D$54</f>
        <v>0</v>
      </c>
      <c r="E67" s="28" t="s">
        <v>90</v>
      </c>
    </row>
    <row r="68" ht="13.5">
      <c r="D68" s="7"/>
    </row>
    <row r="69" ht="17.25">
      <c r="B69" s="37"/>
    </row>
    <row r="70" spans="2:4" ht="17.25">
      <c r="B70" s="37" t="s">
        <v>156</v>
      </c>
      <c r="D70" s="7"/>
    </row>
    <row r="71" ht="13.5">
      <c r="B71" s="75" t="s">
        <v>172</v>
      </c>
    </row>
    <row r="73" spans="1:5" ht="22.5">
      <c r="A73" s="67"/>
      <c r="B73" s="56" t="s">
        <v>176</v>
      </c>
      <c r="D73" s="39">
        <f>IF($D$57&lt;'入力・計算用資料'!$C$46,ROUNDDOWN((('入力・計算用資料'!$C$52+'入力・計算用資料'!$D$52)*0.2)/0.9+2000,0),ROUNDDOWN((('入力・計算用資料'!$C$52+'入力・計算用資料'!$D$52)*0.2)/(0.9-VLOOKUP(($D$57-'入力・計算用資料'!$C$46),'入力・計算用資料'!$A$21:$D$28,2)*1.021)+2000,0))</f>
        <v>2000</v>
      </c>
      <c r="E73" s="36" t="s">
        <v>130</v>
      </c>
    </row>
    <row r="74" spans="1:5" ht="13.5">
      <c r="A74" s="67"/>
      <c r="B74" s="78" t="s">
        <v>179</v>
      </c>
      <c r="C74" s="67"/>
      <c r="D74" s="68"/>
      <c r="E74" s="36"/>
    </row>
    <row r="75" spans="2:4" ht="13.5">
      <c r="B75" s="78" t="s">
        <v>180</v>
      </c>
      <c r="C75" s="67"/>
      <c r="D75" s="67"/>
    </row>
    <row r="76" ht="13.5">
      <c r="B76" s="78" t="s">
        <v>181</v>
      </c>
    </row>
    <row r="77" ht="13.5">
      <c r="B77" s="78" t="s">
        <v>182</v>
      </c>
    </row>
    <row r="79" ht="17.25">
      <c r="B79" s="37" t="s">
        <v>100</v>
      </c>
    </row>
    <row r="81" spans="2:5" ht="13.5">
      <c r="B81" t="s">
        <v>19</v>
      </c>
      <c r="D81" s="42">
        <v>0</v>
      </c>
      <c r="E81" s="28" t="s">
        <v>84</v>
      </c>
    </row>
    <row r="83" spans="3:4" ht="13.5">
      <c r="C83" t="s">
        <v>34</v>
      </c>
      <c r="D83" t="s">
        <v>35</v>
      </c>
    </row>
    <row r="85" spans="2:5" ht="13.5">
      <c r="B85" t="s">
        <v>33</v>
      </c>
      <c r="C85" s="4">
        <f>IF($D$81&lt;=2000,0,IF($D$81&gt;$C$44*0.4,$C$44*0.4-2000,$D$81-2000))</f>
        <v>0</v>
      </c>
      <c r="D85" t="s">
        <v>36</v>
      </c>
      <c r="E85" s="28" t="s">
        <v>98</v>
      </c>
    </row>
    <row r="87" spans="1:5" ht="13.5">
      <c r="A87" s="50"/>
      <c r="B87" s="15" t="s">
        <v>32</v>
      </c>
      <c r="C87" s="6">
        <f>$C$55+$C$85</f>
        <v>380000</v>
      </c>
      <c r="D87" s="6">
        <f>$D$55</f>
        <v>330000</v>
      </c>
      <c r="E87" s="28" t="s">
        <v>99</v>
      </c>
    </row>
    <row r="88" ht="13.5">
      <c r="A88" s="50"/>
    </row>
    <row r="89" spans="1:5" ht="13.5">
      <c r="A89" s="50"/>
      <c r="B89" s="15" t="s">
        <v>37</v>
      </c>
      <c r="C89" s="4">
        <f>IF($C$44-$C$87&lt;0,0,ROUNDDOWN(($C$44-$C$87)/1000,0)*1000)</f>
        <v>0</v>
      </c>
      <c r="D89" s="4">
        <f>IF($D$44-$D$87&lt;0,0,ROUNDDOWN(($D$44-$D$87)/1000,0)*1000)</f>
        <v>0</v>
      </c>
      <c r="E89" s="28" t="s">
        <v>82</v>
      </c>
    </row>
    <row r="90" ht="13.5">
      <c r="A90" s="50"/>
    </row>
    <row r="91" spans="1:5" ht="13.5">
      <c r="A91" s="50"/>
      <c r="B91" s="15" t="s">
        <v>115</v>
      </c>
      <c r="C91" s="4">
        <f>VLOOKUP($C$89,'入力・計算用資料'!$A$21:$D$28,4)</f>
        <v>0</v>
      </c>
      <c r="E91" s="28" t="s">
        <v>83</v>
      </c>
    </row>
    <row r="92" ht="13.5">
      <c r="A92" s="50"/>
    </row>
    <row r="93" spans="1:5" ht="21">
      <c r="A93" s="50"/>
      <c r="B93" s="51" t="s">
        <v>123</v>
      </c>
      <c r="C93" s="4">
        <f>IF($C$91-$C$36&lt;0,0,$C$91-$C$36)</f>
        <v>0</v>
      </c>
      <c r="E93" s="28" t="s">
        <v>116</v>
      </c>
    </row>
    <row r="95" spans="2:5" ht="27">
      <c r="B95" s="52" t="s">
        <v>125</v>
      </c>
      <c r="C95" s="53">
        <f>ROUNDDOWN(C93*1.021/100,0)*100</f>
        <v>0</v>
      </c>
      <c r="E95" s="28" t="s">
        <v>122</v>
      </c>
    </row>
    <row r="98" spans="1:5" ht="13.5">
      <c r="A98" s="50"/>
      <c r="B98" t="s">
        <v>39</v>
      </c>
      <c r="D98" s="6">
        <f>$D$67</f>
        <v>0</v>
      </c>
      <c r="E98" s="28" t="s">
        <v>102</v>
      </c>
    </row>
    <row r="99" ht="13.5">
      <c r="A99" s="50"/>
    </row>
    <row r="100" spans="2:5" ht="13.5">
      <c r="B100" t="s">
        <v>40</v>
      </c>
      <c r="D100" s="6">
        <f>'入力・計算用資料'!$C$64+'入力・計算用資料'!$D$64</f>
        <v>0</v>
      </c>
      <c r="E100" s="28" t="s">
        <v>108</v>
      </c>
    </row>
    <row r="102" spans="2:5" ht="13.5">
      <c r="B102" s="12" t="s">
        <v>31</v>
      </c>
      <c r="D102" s="4">
        <f>'入力・計算用資料'!$C$72+'入力・計算用資料'!$D$72</f>
        <v>0</v>
      </c>
      <c r="E102" s="28" t="s">
        <v>162</v>
      </c>
    </row>
    <row r="104" spans="2:4" ht="13.5">
      <c r="B104" t="s">
        <v>38</v>
      </c>
      <c r="C104" s="40">
        <f>$C$63-$C$95</f>
        <v>0</v>
      </c>
      <c r="D104" s="40">
        <f>$D$67-$D$102</f>
        <v>0</v>
      </c>
    </row>
    <row r="105" ht="13.5">
      <c r="B105" s="76" t="s">
        <v>177</v>
      </c>
    </row>
    <row r="106" spans="2:5" ht="21.75" customHeight="1">
      <c r="B106" s="77" t="s">
        <v>178</v>
      </c>
      <c r="C106" s="55"/>
      <c r="D106" s="55"/>
      <c r="E106" s="54"/>
    </row>
    <row r="107" spans="1:2" ht="13.5">
      <c r="A107" s="15" t="s">
        <v>128</v>
      </c>
      <c r="B107" s="15"/>
    </row>
    <row r="108" spans="1:2" ht="13.5">
      <c r="A108" s="15" t="s">
        <v>126</v>
      </c>
      <c r="B108" s="15"/>
    </row>
    <row r="109" spans="1:2" ht="13.5">
      <c r="A109" s="15" t="s">
        <v>127</v>
      </c>
      <c r="B109" s="15"/>
    </row>
    <row r="110" spans="1:2" ht="13.5">
      <c r="A110" s="15" t="s">
        <v>173</v>
      </c>
      <c r="B110" s="15"/>
    </row>
  </sheetData>
  <sheetProtection sheet="1"/>
  <dataValidations count="3">
    <dataValidation type="whole" operator="greaterThanOrEqual" allowBlank="1" showInputMessage="1" showErrorMessage="1" sqref="D81 C7 C14:C19 C9 C28:C34 C24:C26">
      <formula1>0</formula1>
    </dataValidation>
    <dataValidation type="list" allowBlank="1" showInputMessage="1" showErrorMessage="1" sqref="C11">
      <formula1>$F$7:$F$9</formula1>
    </dataValidation>
    <dataValidation type="list" allowBlank="1" showInputMessage="1" showErrorMessage="1" sqref="C21">
      <formula1>$F$21:$F$24</formula1>
    </dataValidation>
  </dataValidations>
  <printOptions/>
  <pageMargins left="0.25" right="0.25" top="0.75" bottom="0.75" header="0.3" footer="0.3"/>
  <pageSetup horizontalDpi="600" verticalDpi="600" orientation="landscape" paperSize="9" r:id="rId1"/>
  <rowBreaks count="2" manualBreakCount="2">
    <brk id="38" max="7" man="1"/>
    <brk id="68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34">
      <selection activeCell="C72" sqref="C72"/>
    </sheetView>
  </sheetViews>
  <sheetFormatPr defaultColWidth="9.140625" defaultRowHeight="15"/>
  <cols>
    <col min="1" max="2" width="10.28125" style="0" bestFit="1" customWidth="1"/>
    <col min="3" max="4" width="10.421875" style="0" bestFit="1" customWidth="1"/>
    <col min="5" max="5" width="13.8515625" style="0" customWidth="1"/>
    <col min="6" max="6" width="10.28125" style="0" bestFit="1" customWidth="1"/>
    <col min="8" max="10" width="10.28125" style="0" bestFit="1" customWidth="1"/>
  </cols>
  <sheetData>
    <row r="1" ht="13.5">
      <c r="A1" t="s">
        <v>110</v>
      </c>
    </row>
    <row r="5" spans="1:5" ht="13.5">
      <c r="A5" t="s">
        <v>62</v>
      </c>
      <c r="E5" t="s">
        <v>60</v>
      </c>
    </row>
    <row r="6" spans="1:7" ht="27">
      <c r="A6" s="1" t="s">
        <v>0</v>
      </c>
      <c r="B6" s="11" t="s">
        <v>25</v>
      </c>
      <c r="C6" s="10" t="s">
        <v>27</v>
      </c>
      <c r="E6" s="48"/>
      <c r="G6" t="s">
        <v>61</v>
      </c>
    </row>
    <row r="7" spans="1:9" ht="27">
      <c r="A7" s="30">
        <v>0</v>
      </c>
      <c r="B7" s="31">
        <v>0</v>
      </c>
      <c r="C7" s="30">
        <v>0</v>
      </c>
      <c r="E7" s="49"/>
      <c r="G7" s="10" t="s">
        <v>27</v>
      </c>
      <c r="H7" s="1" t="s">
        <v>29</v>
      </c>
      <c r="I7" s="1" t="s">
        <v>30</v>
      </c>
    </row>
    <row r="8" spans="1:9" ht="13.5">
      <c r="A8" s="30">
        <v>651000</v>
      </c>
      <c r="B8" s="31">
        <f>'入力・結果表示画面'!$C$7-650000</f>
        <v>-650000</v>
      </c>
      <c r="C8" s="30">
        <f>'入力・結果表示画面'!$C$9-650000</f>
        <v>-650000</v>
      </c>
      <c r="E8" s="49"/>
      <c r="G8" s="4">
        <v>0</v>
      </c>
      <c r="H8" s="4">
        <v>0</v>
      </c>
      <c r="I8" s="4">
        <v>0</v>
      </c>
    </row>
    <row r="9" spans="1:9" ht="13.5">
      <c r="A9" s="30">
        <v>1619000</v>
      </c>
      <c r="B9" s="31">
        <v>969000</v>
      </c>
      <c r="C9" s="30">
        <v>969000</v>
      </c>
      <c r="E9" s="49"/>
      <c r="G9" s="4">
        <v>380001</v>
      </c>
      <c r="H9" s="4">
        <v>380000</v>
      </c>
      <c r="I9" s="4">
        <v>330000</v>
      </c>
    </row>
    <row r="10" spans="1:9" ht="13.5">
      <c r="A10" s="30">
        <v>1620000</v>
      </c>
      <c r="B10" s="31">
        <v>970000</v>
      </c>
      <c r="C10" s="30">
        <v>970000</v>
      </c>
      <c r="G10" s="4">
        <v>400000</v>
      </c>
      <c r="H10" s="4">
        <v>360000</v>
      </c>
      <c r="I10" s="4">
        <v>330000</v>
      </c>
    </row>
    <row r="11" spans="1:9" ht="13.5">
      <c r="A11" s="30">
        <v>1622000</v>
      </c>
      <c r="B11" s="31">
        <v>972000</v>
      </c>
      <c r="C11" s="30">
        <v>972000</v>
      </c>
      <c r="E11" s="23" t="s">
        <v>58</v>
      </c>
      <c r="G11" s="4">
        <v>450000</v>
      </c>
      <c r="H11" s="4">
        <v>310000</v>
      </c>
      <c r="I11" s="4">
        <v>310000</v>
      </c>
    </row>
    <row r="12" spans="1:9" ht="13.5">
      <c r="A12" s="30">
        <v>1624000</v>
      </c>
      <c r="B12" s="31">
        <v>974000</v>
      </c>
      <c r="C12" s="30">
        <v>974000</v>
      </c>
      <c r="E12" s="23" t="s">
        <v>59</v>
      </c>
      <c r="G12" s="4">
        <v>500000</v>
      </c>
      <c r="H12" s="4">
        <v>260000</v>
      </c>
      <c r="I12" s="4">
        <v>260000</v>
      </c>
    </row>
    <row r="13" spans="1:9" ht="13.5">
      <c r="A13" s="30">
        <v>1628000</v>
      </c>
      <c r="B13" s="31">
        <f>ROUNDDOWN('入力・結果表示画面'!$C$7/4000,0)*1000*4*0.6</f>
        <v>0</v>
      </c>
      <c r="C13" s="30">
        <f>ROUNDDOWN('入力・結果表示画面'!$C$9/4000,0)*1000*4*0.6</f>
        <v>0</v>
      </c>
      <c r="E13" s="4">
        <f>IF('入力・結果表示画面'!$C$9&lt;0,0,VLOOKUP('入力・結果表示画面'!$C$9,$A$6:$C$18,3))</f>
        <v>0</v>
      </c>
      <c r="G13" s="4">
        <v>550000</v>
      </c>
      <c r="H13" s="4">
        <v>210000</v>
      </c>
      <c r="I13" s="4">
        <v>210000</v>
      </c>
    </row>
    <row r="14" spans="1:9" ht="13.5">
      <c r="A14" s="30">
        <v>1800000</v>
      </c>
      <c r="B14" s="31">
        <f>ROUNDDOWN('入力・結果表示画面'!$C$7/4000,0)*1000*4*0.7-180000</f>
        <v>-180000</v>
      </c>
      <c r="C14" s="30">
        <f>ROUNDDOWN('入力・結果表示画面'!$C$9/4000,0)*1000*4*0.7-180000</f>
        <v>-180000</v>
      </c>
      <c r="G14" s="4">
        <v>600000</v>
      </c>
      <c r="H14" s="4">
        <v>160000</v>
      </c>
      <c r="I14" s="4">
        <v>160000</v>
      </c>
    </row>
    <row r="15" spans="1:9" ht="13.5">
      <c r="A15" s="30">
        <v>3600000</v>
      </c>
      <c r="B15" s="31">
        <f>ROUNDDOWN('入力・結果表示画面'!$C$7/4000,0)*1000*4*0.8-540000</f>
        <v>-540000</v>
      </c>
      <c r="C15" s="30">
        <f>ROUNDDOWN('入力・結果表示画面'!$C$9/4000,0)*1000*4*0.8-540000</f>
        <v>-540000</v>
      </c>
      <c r="G15" s="4">
        <v>650000</v>
      </c>
      <c r="H15" s="4">
        <v>110000</v>
      </c>
      <c r="I15" s="4">
        <v>110000</v>
      </c>
    </row>
    <row r="16" spans="1:9" ht="13.5">
      <c r="A16" s="30">
        <v>6600000</v>
      </c>
      <c r="B16" s="31">
        <f>'入力・結果表示画面'!$C$7*0.9-1200000</f>
        <v>-1200000</v>
      </c>
      <c r="C16" s="30">
        <f>'入力・結果表示画面'!$C$9*0.9-1200000</f>
        <v>-1200000</v>
      </c>
      <c r="G16" s="4">
        <v>700000</v>
      </c>
      <c r="H16" s="4">
        <v>60000</v>
      </c>
      <c r="I16" s="4">
        <v>60000</v>
      </c>
    </row>
    <row r="17" spans="1:9" ht="13.5">
      <c r="A17" s="30">
        <v>10000000</v>
      </c>
      <c r="B17" s="31">
        <f>'入力・結果表示画面'!$C$7*0.95-1700000</f>
        <v>-1700000</v>
      </c>
      <c r="C17" s="30">
        <f>'入力・結果表示画面'!$C$9*0.95-1700000</f>
        <v>-1700000</v>
      </c>
      <c r="G17" s="4">
        <v>750000</v>
      </c>
      <c r="H17" s="4">
        <v>30000</v>
      </c>
      <c r="I17" s="4">
        <v>30000</v>
      </c>
    </row>
    <row r="18" spans="1:9" ht="13.5">
      <c r="A18" s="32">
        <v>15000000</v>
      </c>
      <c r="B18" s="33">
        <f>'入力・結果表示画面'!$C$7-2450000</f>
        <v>-2450000</v>
      </c>
      <c r="C18" s="34">
        <f>'入力・結果表示画面'!$C$9-2450000</f>
        <v>-2450000</v>
      </c>
      <c r="G18" s="4">
        <v>760000</v>
      </c>
      <c r="H18" s="4">
        <v>0</v>
      </c>
      <c r="I18" s="4">
        <v>0</v>
      </c>
    </row>
    <row r="19" spans="2:3" ht="13.5">
      <c r="B19" s="8"/>
      <c r="C19" s="7"/>
    </row>
    <row r="20" ht="13.5">
      <c r="A20" t="s">
        <v>63</v>
      </c>
    </row>
    <row r="21" spans="1:4" ht="13.5">
      <c r="A21" s="3" t="s">
        <v>20</v>
      </c>
      <c r="B21" s="3" t="s">
        <v>51</v>
      </c>
      <c r="C21" s="24" t="s">
        <v>64</v>
      </c>
      <c r="D21" s="24" t="s">
        <v>65</v>
      </c>
    </row>
    <row r="22" spans="1:4" ht="13.5">
      <c r="A22" s="32">
        <v>0</v>
      </c>
      <c r="B22" s="47">
        <v>0.05</v>
      </c>
      <c r="C22" s="30">
        <f>'入力・結果表示画面'!$C$57*0.05</f>
        <v>0</v>
      </c>
      <c r="D22" s="30">
        <f>'入力・結果表示画面'!$C$89*0.05</f>
        <v>0</v>
      </c>
    </row>
    <row r="23" spans="1:4" ht="13.5">
      <c r="A23" s="32">
        <v>1950001</v>
      </c>
      <c r="B23" s="47">
        <v>0.1</v>
      </c>
      <c r="C23" s="30">
        <f>'入力・結果表示画面'!$C$57*0.1-97500</f>
        <v>-97500</v>
      </c>
      <c r="D23" s="30">
        <f>'入力・結果表示画面'!$C$89*0.1-97500</f>
        <v>-97500</v>
      </c>
    </row>
    <row r="24" spans="1:4" ht="13.5">
      <c r="A24" s="32">
        <v>3300001</v>
      </c>
      <c r="B24" s="47">
        <v>0.2</v>
      </c>
      <c r="C24" s="30">
        <f>'入力・結果表示画面'!$C$57*0.2-427500</f>
        <v>-427500</v>
      </c>
      <c r="D24" s="30">
        <f>'入力・結果表示画面'!$C$89*0.2-427500</f>
        <v>-427500</v>
      </c>
    </row>
    <row r="25" spans="1:4" ht="13.5">
      <c r="A25" s="32">
        <v>6950001</v>
      </c>
      <c r="B25" s="47">
        <v>0.23</v>
      </c>
      <c r="C25" s="30">
        <f>'入力・結果表示画面'!$C$57*0.23-636000</f>
        <v>-636000</v>
      </c>
      <c r="D25" s="30">
        <f>'入力・結果表示画面'!$C$89*0.23-636000</f>
        <v>-636000</v>
      </c>
    </row>
    <row r="26" spans="1:4" ht="13.5">
      <c r="A26" s="32">
        <v>9000001</v>
      </c>
      <c r="B26" s="47">
        <v>0.33</v>
      </c>
      <c r="C26" s="30">
        <f>'入力・結果表示画面'!$C$57*0.33-1536000</f>
        <v>-1536000</v>
      </c>
      <c r="D26" s="30">
        <f>'入力・結果表示画面'!$C$89*0.33-1536000</f>
        <v>-1536000</v>
      </c>
    </row>
    <row r="27" spans="1:4" ht="13.5">
      <c r="A27" s="32">
        <v>18000001</v>
      </c>
      <c r="B27" s="47">
        <v>0.4</v>
      </c>
      <c r="C27" s="30">
        <f>'入力・結果表示画面'!$C$57*0.4-2796000</f>
        <v>-2796000</v>
      </c>
      <c r="D27" s="30">
        <f>'入力・結果表示画面'!$C$89*0.4-2796000</f>
        <v>-2796000</v>
      </c>
    </row>
    <row r="28" spans="1:4" ht="13.5">
      <c r="A28" s="32">
        <v>40000001</v>
      </c>
      <c r="B28" s="47">
        <v>0.45</v>
      </c>
      <c r="C28" s="30">
        <f>'入力・結果表示画面'!$C$57*0.45-4796000</f>
        <v>-4796000</v>
      </c>
      <c r="D28" s="30">
        <f>'入力・結果表示画面'!$C$89*0.45-4796000</f>
        <v>-4796000</v>
      </c>
    </row>
    <row r="30" ht="13.5">
      <c r="A30" t="s">
        <v>52</v>
      </c>
    </row>
    <row r="32" ht="13.5">
      <c r="A32" t="s">
        <v>66</v>
      </c>
    </row>
    <row r="33" ht="13.5">
      <c r="E33" s="8"/>
    </row>
    <row r="34" spans="2:4" ht="13.5">
      <c r="B34" s="8" t="s">
        <v>67</v>
      </c>
      <c r="C34" s="1">
        <f>IF(OR('入力・結果表示画面'!$C$11="",'入力・結果表示画面'!$C$11="なし"),0,1)</f>
        <v>0</v>
      </c>
      <c r="D34" s="28" t="s">
        <v>86</v>
      </c>
    </row>
    <row r="35" spans="2:5" ht="13.5">
      <c r="B35" s="8" t="s">
        <v>68</v>
      </c>
      <c r="C35" s="1">
        <f>SUM('入力・結果表示画面'!$C$14:$C$19)</f>
        <v>0</v>
      </c>
      <c r="D35" s="28" t="s">
        <v>87</v>
      </c>
      <c r="E35" s="8"/>
    </row>
    <row r="36" spans="2:4" ht="13.5">
      <c r="B36" s="8" t="s">
        <v>69</v>
      </c>
      <c r="C36" s="4">
        <f>IF($C$34+$C$35=0,350000,350000*(1+$C$34+$C$35)+320000)</f>
        <v>350000</v>
      </c>
      <c r="D36" s="28" t="s">
        <v>88</v>
      </c>
    </row>
    <row r="37" spans="2:5" ht="13.5">
      <c r="B37" s="22" t="s">
        <v>74</v>
      </c>
      <c r="C37" s="1">
        <f>IF($C$36&gt;('入力・結果表示画面'!$D$44-$C$52-$D$52),$C$36-('入力・結果表示画面'!$D$44-$C$52-$D$52),0)</f>
        <v>350000</v>
      </c>
      <c r="D37" s="35" t="s">
        <v>96</v>
      </c>
      <c r="E37" s="17"/>
    </row>
    <row r="38" spans="2:4" ht="13.5">
      <c r="B38" s="22" t="s">
        <v>75</v>
      </c>
      <c r="C38" s="1">
        <f>IF($C$36&gt;('入力・結果表示画面'!$D$44-$C$70-$D$70),$C$36-('入力・結果表示画面'!$D$44-$C$70-$D$70),0)</f>
        <v>350000</v>
      </c>
      <c r="D38" s="35" t="s">
        <v>96</v>
      </c>
    </row>
    <row r="40" ht="13.5">
      <c r="A40" s="20" t="s">
        <v>53</v>
      </c>
    </row>
    <row r="42" spans="2:4" ht="13.5">
      <c r="B42" s="18" t="s">
        <v>41</v>
      </c>
      <c r="C42" s="4">
        <f>IF('入力・結果表示画面'!$C$11="あり(69歳以下)",50000,IF('入力・結果表示画面'!$C$11="あり(70歳以上)",100000,0))</f>
        <v>0</v>
      </c>
      <c r="D42" s="28" t="s">
        <v>91</v>
      </c>
    </row>
    <row r="43" spans="2:4" ht="13.5">
      <c r="B43" s="18" t="s">
        <v>44</v>
      </c>
      <c r="C43" s="4">
        <f>IF(OR('入力・結果表示画面'!$C$11="なし",'入力・結果表示画面'!$C$11=""),0,IF(AND(380000&lt;$E$13,$E$13&lt;400000),50000,IF(AND(400000&lt;=$E$13,$E$13&lt;450000),30000,0)))</f>
        <v>0</v>
      </c>
      <c r="D43" s="28" t="s">
        <v>92</v>
      </c>
    </row>
    <row r="44" spans="2:4" s="70" customFormat="1" ht="13.5">
      <c r="B44" s="18" t="s">
        <v>167</v>
      </c>
      <c r="C44" s="4">
        <f>IF(OR('入力・結果表示画面'!$C$11="あり(69歳以下)",'入力・結果表示画面'!$C$11="あり(70歳以上)"),0,IF('入力・結果表示画面'!$C$21="特定の寡婦",50000,IF(OR('入力・結果表示画面'!$C$21="寡婦",'入力・結果表示画面'!$C$21="寡夫"),10000,0)))</f>
        <v>0</v>
      </c>
      <c r="D44" s="28" t="s">
        <v>168</v>
      </c>
    </row>
    <row r="45" spans="2:4" ht="13.5">
      <c r="B45" s="19" t="s">
        <v>42</v>
      </c>
      <c r="C45" s="14">
        <f>'入力・結果表示画面'!$C$15*50000+'入力・結果表示画面'!$C$16*180000+'入力・結果表示画面'!$C$17*50000+'入力・結果表示画面'!$C$18*130000+'入力・結果表示画面'!$C$19*100000+'入力・結果表示画面'!$C$24*10000+'入力・結果表示画面'!$C$25*100000+'入力・結果表示画面'!$C$26*220000+50000</f>
        <v>50000</v>
      </c>
      <c r="D45" s="29" t="s">
        <v>169</v>
      </c>
    </row>
    <row r="46" spans="2:4" ht="13.5">
      <c r="B46" s="19" t="s">
        <v>43</v>
      </c>
      <c r="C46" s="4">
        <f>SUM($C$42:$C$45)</f>
        <v>50000</v>
      </c>
      <c r="D46" s="28" t="s">
        <v>93</v>
      </c>
    </row>
    <row r="47" spans="2:4" ht="13.5">
      <c r="B47" s="16"/>
      <c r="C47" s="7"/>
      <c r="D47" s="7"/>
    </row>
    <row r="48" spans="1:4" ht="13.5">
      <c r="A48" s="21" t="s">
        <v>54</v>
      </c>
      <c r="C48" s="7"/>
      <c r="D48" s="7"/>
    </row>
    <row r="49" spans="2:4" ht="13.5">
      <c r="B49" s="16"/>
      <c r="C49" s="7"/>
      <c r="D49" s="7"/>
    </row>
    <row r="50" spans="2:4" ht="13.5">
      <c r="B50" s="16"/>
      <c r="C50" s="2" t="s">
        <v>45</v>
      </c>
      <c r="D50" t="s">
        <v>46</v>
      </c>
    </row>
    <row r="51" spans="2:5" ht="13.5">
      <c r="B51" s="19" t="s">
        <v>47</v>
      </c>
      <c r="C51" s="4">
        <f>IF('入力・結果表示画面'!$D$57&lt;=2000000,IF($C$46&lt;'入力・結果表示画面'!$D$57,$C$46*0.02,'入力・結果表示画面'!$D$57*0.02),IF($C$46-'入力・結果表示画面'!$D$57+2000000&gt;50000,($C$46-'入力・結果表示画面'!$D$57+2000000)*0.02,1000))</f>
        <v>0</v>
      </c>
      <c r="D51" s="4">
        <f>IF('入力・結果表示画面'!$D$57&lt;=2000000,IF($C$46&lt;'入力・結果表示画面'!$D$57,$C$46*0.03,'入力・結果表示画面'!$D$57*0.03),IF($C$46-'入力・結果表示画面'!$D$57+2000000&gt;50000,($C$46-'入力・結果表示画面'!$D$57+2000000)*0.03,1500))</f>
        <v>0</v>
      </c>
      <c r="E51" s="28" t="s">
        <v>94</v>
      </c>
    </row>
    <row r="52" spans="2:5" ht="13.5">
      <c r="B52" s="22" t="s">
        <v>55</v>
      </c>
      <c r="C52" s="4">
        <f>IF('入力・結果表示画面'!$D$65="非課税",0,'入力・結果表示画面'!$D$57*0.04-$C$51)</f>
        <v>0</v>
      </c>
      <c r="D52" s="4">
        <f>IF('入力・結果表示画面'!$D$65="非課税",0,'入力・結果表示画面'!$D$57*0.06-$D$51)</f>
        <v>0</v>
      </c>
      <c r="E52" s="28" t="s">
        <v>95</v>
      </c>
    </row>
    <row r="53" spans="2:5" ht="13.5">
      <c r="B53" s="22" t="s">
        <v>71</v>
      </c>
      <c r="C53" s="4">
        <f>IF($C$52=0,0,ROUNDUP($C$37*$C$52/($C$52+$D$52),0))</f>
        <v>0</v>
      </c>
      <c r="D53" s="4">
        <f>IF($D$52=0,0,ROUNDUP($C$37*$D$52/($C$52+$D$52),0))</f>
        <v>0</v>
      </c>
      <c r="E53" s="28" t="s">
        <v>97</v>
      </c>
    </row>
    <row r="54" spans="2:5" ht="13.5">
      <c r="B54" s="22" t="s">
        <v>73</v>
      </c>
      <c r="C54" s="4">
        <f>ROUNDDOWN(($C$52-$C$53)/100,0)*100</f>
        <v>0</v>
      </c>
      <c r="D54" s="4">
        <f>ROUNDDOWN(($D$52-$D$53)/100,0)*100</f>
        <v>0</v>
      </c>
      <c r="E54" s="35" t="s">
        <v>103</v>
      </c>
    </row>
    <row r="55" spans="2:4" ht="13.5">
      <c r="B55" s="22"/>
      <c r="C55" s="7"/>
      <c r="D55" s="7"/>
    </row>
    <row r="56" spans="2:4" ht="13.5">
      <c r="B56" s="22"/>
      <c r="C56" s="7"/>
      <c r="D56" s="7"/>
    </row>
    <row r="57" spans="1:4" ht="13.5">
      <c r="A57" t="s">
        <v>56</v>
      </c>
      <c r="B57" s="22"/>
      <c r="C57" s="7"/>
      <c r="D57" s="7"/>
    </row>
    <row r="58" spans="2:4" ht="13.5">
      <c r="B58" s="22"/>
      <c r="C58" s="7"/>
      <c r="D58" s="7"/>
    </row>
    <row r="59" spans="2:4" ht="13.5">
      <c r="B59" s="16"/>
      <c r="C59" s="9" t="s">
        <v>45</v>
      </c>
      <c r="D59" s="9" t="s">
        <v>46</v>
      </c>
    </row>
    <row r="60" spans="2:5" ht="13.5">
      <c r="B60" s="22" t="s">
        <v>50</v>
      </c>
      <c r="C60" s="4">
        <f>IF('入力・結果表示画面'!$D$81&lt;=2000,0,IF('入力・結果表示画面'!$D$89&lt;$C$46,ROUNDUP(('入力・結果表示画面'!$D$81-2000)*0.9*0.4,0),ROUNDUP(('入力・結果表示画面'!$D$81-2000)*(0.9-VLOOKUP(('入力・結果表示画面'!$D$89-$C$46),$A$21:$D$28,2)*1.021)*0.4,0)))</f>
        <v>0</v>
      </c>
      <c r="D60" s="4">
        <f>IF('入力・結果表示画面'!$D$81&lt;=2000,0,IF('入力・結果表示画面'!$D$89&lt;$C$46,ROUNDDOWN(('入力・結果表示画面'!$D$81-2000)*0.9*0.6,0),ROUNDDOWN(('入力・結果表示画面'!$D$81-2000)*(0.9-VLOOKUP(('入力・結果表示画面'!$D$89-$C$46),$A$21:$D$28,2)*1.021)*0.6,0)))</f>
        <v>0</v>
      </c>
      <c r="E60" s="27" t="s">
        <v>105</v>
      </c>
    </row>
    <row r="62" spans="2:5" ht="13.5">
      <c r="B62" s="22" t="s">
        <v>48</v>
      </c>
      <c r="C62" s="4">
        <f>IF('入力・結果表示画面'!$D$81&lt;=2000,0,IF('入力・結果表示画面'!$D$81&gt;'入力・結果表示画面'!$D$44*0.3,('入力・結果表示画面'!$D$44*0.3-2000)*0.04,ROUNDUP(('入力・結果表示画面'!$D$81-2000)*0.04,0)))</f>
        <v>0</v>
      </c>
      <c r="D62" s="4">
        <f>IF('入力・結果表示画面'!$D$81&lt;=2000,0,IF('入力・結果表示画面'!$D$81&gt;'入力・結果表示画面'!$D$44*0.3,('入力・結果表示画面'!$D$44*0.3-2000)*0.06,ROUNDUP(('入力・結果表示画面'!$D$81-2000)*0.06,0)))</f>
        <v>0</v>
      </c>
      <c r="E62" s="28" t="s">
        <v>104</v>
      </c>
    </row>
    <row r="63" spans="2:5" ht="13.5">
      <c r="B63" s="22" t="s">
        <v>49</v>
      </c>
      <c r="C63" s="43">
        <f>IF($C$60&gt;$C$52*0.2,$C$52*0.2,$C$60)</f>
        <v>0</v>
      </c>
      <c r="D63" s="43">
        <f>IF($D$60&gt;$D$52*0.2,$D$52*0.2,$D$60)</f>
        <v>0</v>
      </c>
      <c r="E63" s="28" t="s">
        <v>129</v>
      </c>
    </row>
    <row r="64" spans="2:5" ht="13.5">
      <c r="B64" s="22" t="s">
        <v>107</v>
      </c>
      <c r="C64" s="44">
        <f>$C$62+$C$63</f>
        <v>0</v>
      </c>
      <c r="D64" s="44">
        <f>$D$62+$D$63</f>
        <v>0</v>
      </c>
      <c r="E64" s="28" t="s">
        <v>106</v>
      </c>
    </row>
    <row r="67" ht="13.5">
      <c r="A67" t="s">
        <v>57</v>
      </c>
    </row>
    <row r="69" spans="3:4" ht="13.5">
      <c r="C69" t="s">
        <v>45</v>
      </c>
      <c r="D69" t="s">
        <v>46</v>
      </c>
    </row>
    <row r="70" spans="2:5" ht="13.5">
      <c r="B70" s="22" t="s">
        <v>55</v>
      </c>
      <c r="C70" s="43">
        <f>IF($C$52&lt;$C$64,0,$C$52-$C$64)</f>
        <v>0</v>
      </c>
      <c r="D70" s="43">
        <f>IF($D$52&lt;$D$64,0,$D$52-$D$64)</f>
        <v>0</v>
      </c>
      <c r="E70" s="28" t="s">
        <v>166</v>
      </c>
    </row>
    <row r="71" spans="2:5" ht="13.5">
      <c r="B71" s="18" t="s">
        <v>70</v>
      </c>
      <c r="C71" s="1">
        <f>IF($C$70+$D$70&lt;=0,0,ROUNDUP($C$38*$C$70/($C$70+$D$70),0))</f>
        <v>0</v>
      </c>
      <c r="D71" s="1">
        <f>IF($C$70+$D$70&lt;=0,0,ROUNDUP($C$38*$D$70/($C$70+$D$70),0))</f>
        <v>0</v>
      </c>
      <c r="E71" s="28" t="s">
        <v>97</v>
      </c>
    </row>
    <row r="72" spans="2:5" ht="13.5">
      <c r="B72" s="18" t="s">
        <v>72</v>
      </c>
      <c r="C72" s="4">
        <f>ROUNDDOWN(($C$70-$C$71)/100,0)*100</f>
        <v>0</v>
      </c>
      <c r="D72" s="4">
        <f>ROUNDDOWN(($D$70-$D$71)/100,0)*100</f>
        <v>0</v>
      </c>
      <c r="E72" s="35" t="s">
        <v>109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持ち主</dc:creator>
  <cp:keywords/>
  <dc:description/>
  <cp:lastModifiedBy>天野　正也</cp:lastModifiedBy>
  <cp:lastPrinted>2015-03-27T05:48:34Z</cp:lastPrinted>
  <dcterms:created xsi:type="dcterms:W3CDTF">2013-01-29T15:17:55Z</dcterms:created>
  <dcterms:modified xsi:type="dcterms:W3CDTF">2015-04-23T01:33:32Z</dcterms:modified>
  <cp:category/>
  <cp:version/>
  <cp:contentType/>
  <cp:contentStatus/>
</cp:coreProperties>
</file>